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rai\Desktop\AÑO 2022\JULIO 2022\"/>
    </mc:Choice>
  </mc:AlternateContent>
  <xr:revisionPtr revIDLastSave="0" documentId="8_{D704EA5F-A45E-4632-BF7C-9CA1A9DBFC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</sheets>
  <definedNames>
    <definedName name="_xlnm.Print_Area" localSheetId="0">'Plantilla Presupuesto'!$A$1:$P$107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5" i="2" l="1"/>
  <c r="J25" i="2"/>
  <c r="J24" i="2"/>
  <c r="J23" i="2"/>
  <c r="J21" i="2"/>
  <c r="J18" i="2"/>
  <c r="J16" i="2" s="1"/>
  <c r="J17" i="2"/>
  <c r="J15" i="2"/>
  <c r="J11" i="2"/>
  <c r="I53" i="2"/>
  <c r="P53" i="2" s="1"/>
  <c r="I25" i="2"/>
  <c r="I24" i="2"/>
  <c r="I23" i="2"/>
  <c r="I16" i="2" s="1"/>
  <c r="I21" i="2"/>
  <c r="I17" i="2"/>
  <c r="I15" i="2"/>
  <c r="I11" i="2"/>
  <c r="H35" i="2"/>
  <c r="H24" i="2"/>
  <c r="H16" i="2" s="1"/>
  <c r="H21" i="2"/>
  <c r="H18" i="2"/>
  <c r="H17" i="2"/>
  <c r="H15" i="2"/>
  <c r="H10" i="2" s="1"/>
  <c r="H11" i="2"/>
  <c r="G35" i="2"/>
  <c r="G29" i="2"/>
  <c r="G26" i="2" s="1"/>
  <c r="G24" i="2"/>
  <c r="G23" i="2"/>
  <c r="G21" i="2"/>
  <c r="P21" i="2" s="1"/>
  <c r="G18" i="2"/>
  <c r="G17" i="2"/>
  <c r="G15" i="2"/>
  <c r="G12" i="2"/>
  <c r="G11" i="2"/>
  <c r="F35" i="2"/>
  <c r="F33" i="2"/>
  <c r="F26" i="2"/>
  <c r="F25" i="2"/>
  <c r="F24" i="2"/>
  <c r="F17" i="2"/>
  <c r="F15" i="2"/>
  <c r="F12" i="2"/>
  <c r="F11" i="2"/>
  <c r="E16" i="2"/>
  <c r="E10" i="2"/>
  <c r="E35" i="2"/>
  <c r="E29" i="2"/>
  <c r="E25" i="2"/>
  <c r="E24" i="2"/>
  <c r="E23" i="2"/>
  <c r="E22" i="2"/>
  <c r="P22" i="2" s="1"/>
  <c r="E17" i="2"/>
  <c r="E15" i="2"/>
  <c r="P15" i="2" s="1"/>
  <c r="E11" i="2"/>
  <c r="D17" i="2"/>
  <c r="D15" i="2"/>
  <c r="D11" i="2"/>
  <c r="D10" i="2" s="1"/>
  <c r="B35" i="2"/>
  <c r="B33" i="2"/>
  <c r="B32" i="2"/>
  <c r="B31" i="2"/>
  <c r="B29" i="2"/>
  <c r="B28" i="2"/>
  <c r="B27" i="2"/>
  <c r="B24" i="2"/>
  <c r="B23" i="2"/>
  <c r="B22" i="2"/>
  <c r="B21" i="2"/>
  <c r="B20" i="2"/>
  <c r="B19" i="2"/>
  <c r="B18" i="2"/>
  <c r="B17" i="2"/>
  <c r="B15" i="2"/>
  <c r="B12" i="2"/>
  <c r="B11" i="2"/>
  <c r="D26" i="2"/>
  <c r="D16" i="2"/>
  <c r="P12" i="2"/>
  <c r="N36" i="2"/>
  <c r="P25" i="2"/>
  <c r="N10" i="2"/>
  <c r="M26" i="2"/>
  <c r="P84" i="2"/>
  <c r="P83" i="2" s="1"/>
  <c r="P82" i="2"/>
  <c r="P80" i="2" s="1"/>
  <c r="P81" i="2"/>
  <c r="P79" i="2"/>
  <c r="P78" i="2"/>
  <c r="P77" i="2" s="1"/>
  <c r="P73" i="2"/>
  <c r="P72" i="2"/>
  <c r="P71" i="2"/>
  <c r="P69" i="2"/>
  <c r="P68" i="2"/>
  <c r="P66" i="2"/>
  <c r="P65" i="2"/>
  <c r="P64" i="2"/>
  <c r="P63" i="2"/>
  <c r="P61" i="2"/>
  <c r="P60" i="2"/>
  <c r="P59" i="2"/>
  <c r="P58" i="2"/>
  <c r="P57" i="2"/>
  <c r="P56" i="2"/>
  <c r="P55" i="2"/>
  <c r="P54" i="2"/>
  <c r="P51" i="2"/>
  <c r="P50" i="2"/>
  <c r="P49" i="2"/>
  <c r="P48" i="2"/>
  <c r="P47" i="2"/>
  <c r="P46" i="2"/>
  <c r="P45" i="2"/>
  <c r="P43" i="2"/>
  <c r="P42" i="2"/>
  <c r="P41" i="2"/>
  <c r="P40" i="2"/>
  <c r="P39" i="2"/>
  <c r="P38" i="2"/>
  <c r="P37" i="2"/>
  <c r="P34" i="2"/>
  <c r="P33" i="2"/>
  <c r="P32" i="2"/>
  <c r="P31" i="2"/>
  <c r="P30" i="2"/>
  <c r="P28" i="2"/>
  <c r="P27" i="2"/>
  <c r="P23" i="2"/>
  <c r="P20" i="2"/>
  <c r="P19" i="2"/>
  <c r="P14" i="2"/>
  <c r="P1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B85" i="2" s="1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O77" i="2"/>
  <c r="N77" i="2"/>
  <c r="M77" i="2"/>
  <c r="L77" i="2"/>
  <c r="L85" i="2" s="1"/>
  <c r="K77" i="2"/>
  <c r="J77" i="2"/>
  <c r="I77" i="2"/>
  <c r="H77" i="2"/>
  <c r="G77" i="2"/>
  <c r="F77" i="2"/>
  <c r="E77" i="2"/>
  <c r="D77" i="2"/>
  <c r="C77" i="2"/>
  <c r="B77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O62" i="2"/>
  <c r="N62" i="2"/>
  <c r="M62" i="2"/>
  <c r="L62" i="2"/>
  <c r="K62" i="2"/>
  <c r="J62" i="2"/>
  <c r="I62" i="2"/>
  <c r="H62" i="2"/>
  <c r="G62" i="2"/>
  <c r="F62" i="2"/>
  <c r="E62" i="2"/>
  <c r="B62" i="2"/>
  <c r="C62" i="2"/>
  <c r="C52" i="2"/>
  <c r="O52" i="2"/>
  <c r="N52" i="2"/>
  <c r="M52" i="2"/>
  <c r="L52" i="2"/>
  <c r="K52" i="2"/>
  <c r="J52" i="2"/>
  <c r="I52" i="2"/>
  <c r="H52" i="2"/>
  <c r="G52" i="2"/>
  <c r="F52" i="2"/>
  <c r="E52" i="2"/>
  <c r="B52" i="2"/>
  <c r="D52" i="2"/>
  <c r="O44" i="2"/>
  <c r="N44" i="2"/>
  <c r="M44" i="2"/>
  <c r="L44" i="2"/>
  <c r="K44" i="2"/>
  <c r="J44" i="2"/>
  <c r="I44" i="2"/>
  <c r="H44" i="2"/>
  <c r="G44" i="2"/>
  <c r="F44" i="2"/>
  <c r="E44" i="2"/>
  <c r="B44" i="2"/>
  <c r="C44" i="2"/>
  <c r="D44" i="2"/>
  <c r="O36" i="2"/>
  <c r="M36" i="2"/>
  <c r="L36" i="2"/>
  <c r="K36" i="2"/>
  <c r="J36" i="2"/>
  <c r="I36" i="2"/>
  <c r="H36" i="2"/>
  <c r="G36" i="2"/>
  <c r="F36" i="2"/>
  <c r="E36" i="2"/>
  <c r="B36" i="2"/>
  <c r="C36" i="2"/>
  <c r="D36" i="2"/>
  <c r="C16" i="2"/>
  <c r="C26" i="2"/>
  <c r="N26" i="2"/>
  <c r="L26" i="2"/>
  <c r="K26" i="2"/>
  <c r="J26" i="2"/>
  <c r="I26" i="2"/>
  <c r="H26" i="2"/>
  <c r="L16" i="2"/>
  <c r="K16" i="2"/>
  <c r="L10" i="2"/>
  <c r="K10" i="2"/>
  <c r="J10" i="2"/>
  <c r="I10" i="2"/>
  <c r="G10" i="2"/>
  <c r="F10" i="2"/>
  <c r="C10" i="2"/>
  <c r="G16" i="2" l="1"/>
  <c r="G74" i="2" s="1"/>
  <c r="G87" i="2" s="1"/>
  <c r="P18" i="2"/>
  <c r="P35" i="2"/>
  <c r="F16" i="2"/>
  <c r="P24" i="2"/>
  <c r="P11" i="2"/>
  <c r="E26" i="2"/>
  <c r="C85" i="2"/>
  <c r="K85" i="2"/>
  <c r="B10" i="2"/>
  <c r="H85" i="2"/>
  <c r="E85" i="2"/>
  <c r="N85" i="2"/>
  <c r="G85" i="2"/>
  <c r="P70" i="2"/>
  <c r="E74" i="2"/>
  <c r="E87" i="2" s="1"/>
  <c r="F85" i="2"/>
  <c r="O85" i="2"/>
  <c r="P62" i="2"/>
  <c r="I85" i="2"/>
  <c r="P44" i="2"/>
  <c r="P67" i="2"/>
  <c r="B26" i="2"/>
  <c r="B16" i="2"/>
  <c r="P29" i="2"/>
  <c r="O26" i="2"/>
  <c r="O16" i="2"/>
  <c r="O10" i="2"/>
  <c r="P36" i="2"/>
  <c r="N16" i="2"/>
  <c r="N74" i="2" s="1"/>
  <c r="N87" i="2" s="1"/>
  <c r="P17" i="2"/>
  <c r="P52" i="2"/>
  <c r="M16" i="2"/>
  <c r="M10" i="2"/>
  <c r="C74" i="2"/>
  <c r="M85" i="2"/>
  <c r="D85" i="2"/>
  <c r="J85" i="2"/>
  <c r="P85" i="2"/>
  <c r="F74" i="2"/>
  <c r="F87" i="2" s="1"/>
  <c r="L74" i="2"/>
  <c r="L87" i="2" s="1"/>
  <c r="D74" i="2"/>
  <c r="H74" i="2"/>
  <c r="H87" i="2" s="1"/>
  <c r="K74" i="2"/>
  <c r="I74" i="2"/>
  <c r="I87" i="2" s="1"/>
  <c r="J74" i="2"/>
  <c r="P16" i="2" l="1"/>
  <c r="P26" i="2"/>
  <c r="K87" i="2"/>
  <c r="C87" i="2"/>
  <c r="M74" i="2"/>
  <c r="B74" i="2"/>
  <c r="B87" i="2" s="1"/>
  <c r="O74" i="2"/>
  <c r="O87" i="2" s="1"/>
  <c r="P10" i="2"/>
  <c r="M87" i="2"/>
  <c r="J87" i="2"/>
  <c r="D87" i="2"/>
  <c r="P74" i="2" l="1"/>
  <c r="P87" i="2" s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<sst xmlns="http://schemas.openxmlformats.org/spreadsheetml/2006/main" count="113" uniqueCount="113">
  <si>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</si>
  <si>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</si>
  <si>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</si>
  <si>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</si>
  <si>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</si>
  <si>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</si>
  <si>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</si>
  <si>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</si>
  <si>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</si>
  <si>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</si>
  <si>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</si>
  <si>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</si>
  <si>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</si>
  <si>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</si>
  <si>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</si>
  <si>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</si>
  <si>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</si>
  <si>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</si>
  <si>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</si>
  <si>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</si>
  <si>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</si>
  <si>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</si>
  <si>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</si>
  <si>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</si>
  <si>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</si>
  <si>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</si>
  <si>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</si>
  <si>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</si>
  <si>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</si>
  <si>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</si>
  <si>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</si>
  <si>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</si>
  <si>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</si>
  <si>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</si>
  <si>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</si>
  <si>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</si>
  <si>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</si>
  <si>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</si>
  <si>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</si>
  <si>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</si>
  <si>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</si>
  <si>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</si>
  <si>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</si>
  <si>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</si>
  <si>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</si>
  <si>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</si>
  <si>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</si>
  <si>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</si>
  <si>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</si>
  <si>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</si>
  <si>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</si>
  <si>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</si>
  <si>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</si>
  <si>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</si>
  <si>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</si>
  <si>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</si>
  <si>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</si>
  <si>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</si>
  <si>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</si>
  <si>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</si>
  <si>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</si>
  <si>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</si>
  <si>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</si>
  <si>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</si>
  <si>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</si>
  <si>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</si>
  <si>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</si>
  <si>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</si>
  <si>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</si>
  <si>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</si>
  <si>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</si>
  <si>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</si>
  <si>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</si>
  <si>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</si>
  <si>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</si>
  <si>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</si>
  <si>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</si>
  <si>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</si>
  <si>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</si>
  <si>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</si>
  <si>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</si>
  <si>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</si>
  <si>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</si>
  <si>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</si>
  <si>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</si>
  <si>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</si>
  <si>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</si>
  <si>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</si>
  <si>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</si>
  <si>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</si>
  <si>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LIC. PEDRO RAMIREZ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</si>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</sst>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2" fillId="0" borderId="0" xfId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0" fillId="0" borderId="0" xfId="0"/>
    <xf numFmtId="164" fontId="1" fillId="2" borderId="2" xfId="0" applyNumberFormat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0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"/>
  <sheetViews>
    <sheetView showGridLines="0" tabSelected="1" view="pageBreakPreview" zoomScale="70" zoomScaleNormal="70" zoomScaleSheetLayoutView="70" workbookViewId="0">
      <selection activeCell="D96" sqref="D96"/>
    </sheetView>
  </sheetViews>
  <sheetFormatPr baseColWidth="10" defaultColWidth="9.140625" defaultRowHeight="15" x14ac:dyDescent="0.25"/>
  <cols>
    <col min="1" max="1" width="73.85546875" customWidth="1"/>
    <col min="2" max="2" width="21.7109375" customWidth="1"/>
    <col min="3" max="3" width="16.7109375" customWidth="1"/>
    <col min="4" max="4" width="19" customWidth="1"/>
    <col min="5" max="5" width="18.7109375" bestFit="1" customWidth="1"/>
    <col min="6" max="6" width="18.42578125" customWidth="1"/>
    <col min="7" max="7" width="19.7109375" bestFit="1" customWidth="1"/>
    <col min="8" max="9" width="19" customWidth="1"/>
    <col min="10" max="10" width="18.42578125" customWidth="1"/>
    <col min="11" max="11" width="18.42578125" bestFit="1" customWidth="1"/>
    <col min="12" max="13" width="19" bestFit="1" customWidth="1"/>
    <col min="14" max="14" width="18.7109375" bestFit="1" customWidth="1"/>
    <col min="15" max="15" width="19.7109375" bestFit="1" customWidth="1"/>
    <col min="16" max="16" width="21.42578125" bestFit="1" customWidth="1"/>
  </cols>
  <sheetData>
    <row r="1" spans="1:16" ht="28.5" x14ac:dyDescent="0.25">
      <c r="A1" s="44" t="s">
        <v>105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8.75" x14ac:dyDescent="0.25">
      <c r="A2" s="45" t="s">
        <v>104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15.75" x14ac:dyDescent="0.25">
      <c r="A3" s="46" t="s">
        <v>112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5.75" x14ac:dyDescent="0.25">
      <c r="A4" s="47" t="s">
        <v>103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15.75" x14ac:dyDescent="0.25">
      <c r="A5" s="48" t="s">
        <v>35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7" spans="1:16" x14ac:dyDescent="0.25">
      <c r="A7" s="38" t="s">
        <v>98</v>
      </c>
      <c r="B7" s="39" t="s">
        <v>106</v>
      </c>
      <c r="C7" s="39" t="s">
        <v>36</v>
      </c>
      <c r="D7" s="41" t="s">
        <v>107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16" s="18" customFormat="1" x14ac:dyDescent="0.25">
      <c r="A8" s="38"/>
      <c r="B8" s="40"/>
      <c r="C8" s="40"/>
      <c r="D8" s="22" t="s">
        <v>79</v>
      </c>
      <c r="E8" s="22" t="s">
        <v>99</v>
      </c>
      <c r="F8" s="22" t="s">
        <v>80</v>
      </c>
      <c r="G8" s="22" t="s">
        <v>81</v>
      </c>
      <c r="H8" s="23" t="s">
        <v>82</v>
      </c>
      <c r="I8" s="22" t="s">
        <v>83</v>
      </c>
      <c r="J8" s="23" t="s">
        <v>84</v>
      </c>
      <c r="K8" s="22" t="s">
        <v>100</v>
      </c>
      <c r="L8" s="22" t="s">
        <v>85</v>
      </c>
      <c r="M8" s="22" t="s">
        <v>101</v>
      </c>
      <c r="N8" s="22" t="s">
        <v>102</v>
      </c>
      <c r="O8" s="23" t="s">
        <v>86</v>
      </c>
      <c r="P8" s="22" t="s">
        <v>87</v>
      </c>
    </row>
    <row r="9" spans="1:16" x14ac:dyDescent="0.25">
      <c r="A9" s="1" t="s">
        <v>0</v>
      </c>
      <c r="B9" s="8"/>
      <c r="C9" s="8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x14ac:dyDescent="0.25">
      <c r="A10" s="2" t="s">
        <v>1</v>
      </c>
      <c r="B10" s="9">
        <f>+B11+B12+B13+B14+B15</f>
        <v>69332633</v>
      </c>
      <c r="C10" s="9">
        <f>+C11+C12+C13+C14+C15</f>
        <v>0</v>
      </c>
      <c r="D10" s="9">
        <f>+D11+D12+D13+D14+D15</f>
        <v>4413667.83</v>
      </c>
      <c r="E10" s="9">
        <f>+E11+E12+E13+E14+E15</f>
        <v>4526043.55</v>
      </c>
      <c r="F10" s="9">
        <f t="shared" ref="F10:O10" si="0">+F11+F12+F13+F14+F15</f>
        <v>6520260.4399999995</v>
      </c>
      <c r="G10" s="9">
        <f t="shared" si="0"/>
        <v>8061443.9100000001</v>
      </c>
      <c r="H10" s="9">
        <f t="shared" si="0"/>
        <v>4531292.78</v>
      </c>
      <c r="I10" s="9">
        <f t="shared" si="0"/>
        <v>4786256.9700000007</v>
      </c>
      <c r="J10" s="9">
        <f t="shared" si="0"/>
        <v>4614789.9400000004</v>
      </c>
      <c r="K10" s="9">
        <f t="shared" si="0"/>
        <v>0</v>
      </c>
      <c r="L10" s="9">
        <f t="shared" si="0"/>
        <v>0</v>
      </c>
      <c r="M10" s="9">
        <f>+M11+M12+M13+M14+M15</f>
        <v>0</v>
      </c>
      <c r="N10" s="9">
        <f t="shared" si="0"/>
        <v>0</v>
      </c>
      <c r="O10" s="9">
        <f t="shared" si="0"/>
        <v>0</v>
      </c>
      <c r="P10" s="9">
        <f>SUM(D10:O10)</f>
        <v>37453755.419999994</v>
      </c>
    </row>
    <row r="11" spans="1:16" x14ac:dyDescent="0.25">
      <c r="A11" s="6" t="s">
        <v>2</v>
      </c>
      <c r="B11" s="12">
        <f>44987100+1260000+300000+1800000+3748925+199999+300000</f>
        <v>52596024</v>
      </c>
      <c r="C11" s="11">
        <v>0</v>
      </c>
      <c r="D11" s="21">
        <f>3406850+65000+70000+110000</f>
        <v>3651850</v>
      </c>
      <c r="E11" s="21">
        <f>3433850+65000+70000+110000+81218.27</f>
        <v>3760068.27</v>
      </c>
      <c r="F11" s="21">
        <f>3274850+65000+70000+986000+110000+72681.13</f>
        <v>4578531.13</v>
      </c>
      <c r="G11" s="21">
        <f>3380850+65000+145000+180000+110000</f>
        <v>3880850</v>
      </c>
      <c r="H11" s="21">
        <f>3445850+145000+53000+110000</f>
        <v>3753850</v>
      </c>
      <c r="I11" s="21">
        <f>3445850+145000+244750+110000+34610.06</f>
        <v>3980210.06</v>
      </c>
      <c r="J11" s="21">
        <f>3260850+145000+252000+148000+22611.91</f>
        <v>3828461.91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17">
        <f>SUM(D11:O11)</f>
        <v>27433821.369999997</v>
      </c>
    </row>
    <row r="12" spans="1:16" x14ac:dyDescent="0.25">
      <c r="A12" s="6" t="s">
        <v>3</v>
      </c>
      <c r="B12" s="12">
        <f>2821000+2450000+830000+3748925</f>
        <v>9849925</v>
      </c>
      <c r="C12" s="11">
        <v>0</v>
      </c>
      <c r="D12" s="21">
        <v>217000</v>
      </c>
      <c r="E12" s="21">
        <v>217000</v>
      </c>
      <c r="F12" s="21">
        <f>217000+1060000</f>
        <v>1277000</v>
      </c>
      <c r="G12" s="21">
        <f>217000+3386229.17</f>
        <v>3603229.17</v>
      </c>
      <c r="H12" s="21">
        <v>217000</v>
      </c>
      <c r="I12" s="21">
        <v>217000</v>
      </c>
      <c r="J12" s="21">
        <v>217000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17">
        <f>SUM(D12:O12)</f>
        <v>5965229.1699999999</v>
      </c>
    </row>
    <row r="13" spans="1:16" x14ac:dyDescent="0.25">
      <c r="A13" s="6" t="s">
        <v>37</v>
      </c>
      <c r="B13" s="12">
        <v>0</v>
      </c>
      <c r="C13" s="11">
        <v>0</v>
      </c>
      <c r="D13" s="21">
        <v>0</v>
      </c>
      <c r="E13" s="21"/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17">
        <f t="shared" ref="P13:P15" si="1">SUM(D13:O13)</f>
        <v>0</v>
      </c>
    </row>
    <row r="14" spans="1:16" x14ac:dyDescent="0.25">
      <c r="A14" s="6" t="s">
        <v>4</v>
      </c>
      <c r="B14" s="12">
        <v>0</v>
      </c>
      <c r="C14" s="1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17">
        <f t="shared" si="1"/>
        <v>0</v>
      </c>
    </row>
    <row r="15" spans="1:16" x14ac:dyDescent="0.25">
      <c r="A15" s="6" t="s">
        <v>5</v>
      </c>
      <c r="B15" s="12">
        <f>3176015+3391833+318836</f>
        <v>6886684</v>
      </c>
      <c r="C15" s="11">
        <v>0</v>
      </c>
      <c r="D15" s="21">
        <f>252721.28+259281.35+32815.2</f>
        <v>544817.82999999996</v>
      </c>
      <c r="E15" s="21">
        <f>254635.58+261198.35+33141.35</f>
        <v>548975.28</v>
      </c>
      <c r="F15" s="21">
        <f>306552.11+319915.35+38261.85</f>
        <v>664729.30999999994</v>
      </c>
      <c r="G15" s="21">
        <f>267725.49+275540.35+34098.9</f>
        <v>577364.74</v>
      </c>
      <c r="H15" s="21">
        <f>259953.08+266523.35+33966.35</f>
        <v>560442.77999999991</v>
      </c>
      <c r="I15" s="21">
        <f>273548.16+280137.6+35361.15</f>
        <v>589046.91</v>
      </c>
      <c r="J15" s="21">
        <f>263639.88+270215.35+35472.8</f>
        <v>569328.03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17">
        <f t="shared" si="1"/>
        <v>4054704.88</v>
      </c>
    </row>
    <row r="16" spans="1:16" x14ac:dyDescent="0.25">
      <c r="A16" s="2" t="s">
        <v>6</v>
      </c>
      <c r="B16" s="11">
        <f t="shared" ref="B16:P16" si="2">+SUM(B17:B25)</f>
        <v>42782860</v>
      </c>
      <c r="C16" s="11">
        <f t="shared" si="2"/>
        <v>0</v>
      </c>
      <c r="D16" s="11">
        <f t="shared" si="2"/>
        <v>593579.71</v>
      </c>
      <c r="E16" s="11">
        <f t="shared" si="2"/>
        <v>3408021.3999999994</v>
      </c>
      <c r="F16" s="11">
        <f t="shared" si="2"/>
        <v>2056880.8900000001</v>
      </c>
      <c r="G16" s="11">
        <f t="shared" si="2"/>
        <v>2524379.9400000004</v>
      </c>
      <c r="H16" s="11">
        <f t="shared" si="2"/>
        <v>3354682.25</v>
      </c>
      <c r="I16" s="11">
        <f t="shared" si="2"/>
        <v>3594898.29</v>
      </c>
      <c r="J16" s="11">
        <f t="shared" si="2"/>
        <v>4328775.9000000004</v>
      </c>
      <c r="K16" s="11">
        <f t="shared" si="2"/>
        <v>0</v>
      </c>
      <c r="L16" s="11">
        <f t="shared" si="2"/>
        <v>0</v>
      </c>
      <c r="M16" s="11">
        <f t="shared" si="2"/>
        <v>0</v>
      </c>
      <c r="N16" s="11">
        <f t="shared" si="2"/>
        <v>0</v>
      </c>
      <c r="O16" s="11">
        <f t="shared" si="2"/>
        <v>0</v>
      </c>
      <c r="P16" s="11">
        <f t="shared" si="2"/>
        <v>19861218.379999999</v>
      </c>
    </row>
    <row r="17" spans="1:16" x14ac:dyDescent="0.25">
      <c r="A17" s="6" t="s">
        <v>7</v>
      </c>
      <c r="B17" s="15">
        <f>3700000+100000+8208+48269</f>
        <v>3856477</v>
      </c>
      <c r="C17" s="11">
        <v>0</v>
      </c>
      <c r="D17" s="21">
        <f>194861.48+684.8</f>
        <v>195546.28</v>
      </c>
      <c r="E17" s="21">
        <f>352936.56+31266.89+684.8+7200</f>
        <v>392088.25</v>
      </c>
      <c r="F17" s="26">
        <f>213760.96+296586.66+3648</f>
        <v>513995.62</v>
      </c>
      <c r="G17" s="26">
        <f>283423.21+15622.82+98320.57+5833.4</f>
        <v>403200.00000000006</v>
      </c>
      <c r="H17" s="26">
        <f>280348.33+15619.11+124430.9+3746</f>
        <v>424144.33999999997</v>
      </c>
      <c r="I17" s="26">
        <f>268336.04+16060.72+3746</f>
        <v>288142.75999999995</v>
      </c>
      <c r="J17" s="26">
        <f>273407.07+16060.75</f>
        <v>289467.82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f t="shared" ref="P17:P25" si="3">+SUM(D17:O17)</f>
        <v>2506585.0699999994</v>
      </c>
    </row>
    <row r="18" spans="1:16" x14ac:dyDescent="0.25">
      <c r="A18" s="6" t="s">
        <v>8</v>
      </c>
      <c r="B18" s="15">
        <f>760000+2398971</f>
        <v>3158971</v>
      </c>
      <c r="C18" s="11">
        <v>0</v>
      </c>
      <c r="D18" s="26">
        <v>0</v>
      </c>
      <c r="E18" s="26">
        <v>27258</v>
      </c>
      <c r="F18" s="26">
        <v>106583.33</v>
      </c>
      <c r="G18" s="26">
        <f>47200+422440</f>
        <v>469640</v>
      </c>
      <c r="H18" s="26">
        <f>-44100+14750</f>
        <v>-29350</v>
      </c>
      <c r="I18" s="26">
        <v>37999.980000000003</v>
      </c>
      <c r="J18" s="26">
        <f>6333.33+78694</f>
        <v>85027.33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f t="shared" si="3"/>
        <v>697158.64</v>
      </c>
    </row>
    <row r="19" spans="1:16" x14ac:dyDescent="0.25">
      <c r="A19" s="6" t="s">
        <v>9</v>
      </c>
      <c r="B19" s="15">
        <f>875000+1600000</f>
        <v>2475000</v>
      </c>
      <c r="C19" s="11">
        <v>0</v>
      </c>
      <c r="D19" s="26">
        <v>0</v>
      </c>
      <c r="E19" s="26">
        <v>128550</v>
      </c>
      <c r="F19" s="26">
        <v>41400</v>
      </c>
      <c r="G19" s="26">
        <v>28750</v>
      </c>
      <c r="H19" s="26">
        <v>61500</v>
      </c>
      <c r="I19" s="26">
        <v>277900</v>
      </c>
      <c r="J19" s="26">
        <v>316150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f t="shared" si="3"/>
        <v>854250</v>
      </c>
    </row>
    <row r="20" spans="1:16" ht="18" customHeight="1" x14ac:dyDescent="0.25">
      <c r="A20" s="6" t="s">
        <v>10</v>
      </c>
      <c r="B20" s="15">
        <f>1426452+101000</f>
        <v>1527452</v>
      </c>
      <c r="C20" s="11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f t="shared" si="3"/>
        <v>0</v>
      </c>
    </row>
    <row r="21" spans="1:16" x14ac:dyDescent="0.25">
      <c r="A21" s="6" t="s">
        <v>11</v>
      </c>
      <c r="B21" s="15">
        <f>6650689+628835+12000+120000+1542000</f>
        <v>8953524</v>
      </c>
      <c r="C21" s="11">
        <v>0</v>
      </c>
      <c r="D21" s="26">
        <v>107572.3</v>
      </c>
      <c r="E21" s="26">
        <v>999797.61</v>
      </c>
      <c r="F21" s="26">
        <v>107572.3</v>
      </c>
      <c r="G21" s="26">
        <f>148282.3+140390.5</f>
        <v>288672.8</v>
      </c>
      <c r="H21" s="26">
        <f>112950.92+49855</f>
        <v>162805.91999999998</v>
      </c>
      <c r="I21" s="26">
        <f>1316896.13+65978.99</f>
        <v>1382875.1199999999</v>
      </c>
      <c r="J21" s="26">
        <f>1099550.49+312943.71</f>
        <v>1412494.2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f t="shared" si="3"/>
        <v>4461790.25</v>
      </c>
    </row>
    <row r="22" spans="1:16" x14ac:dyDescent="0.25">
      <c r="A22" s="6" t="s">
        <v>12</v>
      </c>
      <c r="B22" s="15">
        <f>427713+300000+2300000</f>
        <v>3027713</v>
      </c>
      <c r="C22" s="11">
        <v>0</v>
      </c>
      <c r="D22" s="26">
        <v>238861.13</v>
      </c>
      <c r="E22" s="26">
        <f>255191.57+231119.62</f>
        <v>486311.19</v>
      </c>
      <c r="F22" s="26">
        <v>230050.75</v>
      </c>
      <c r="G22" s="26">
        <v>238531.77</v>
      </c>
      <c r="H22" s="26">
        <v>260393.88</v>
      </c>
      <c r="I22" s="26">
        <v>265721.34999999998</v>
      </c>
      <c r="J22" s="26">
        <v>253685.29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f t="shared" si="3"/>
        <v>1973555.3600000003</v>
      </c>
    </row>
    <row r="23" spans="1:16" ht="30" x14ac:dyDescent="0.25">
      <c r="A23" s="6" t="s">
        <v>13</v>
      </c>
      <c r="B23" s="15">
        <f>100000+500000+100000+25000+25000+10000+10000+250000</f>
        <v>1020000</v>
      </c>
      <c r="C23" s="11">
        <v>0</v>
      </c>
      <c r="D23" s="26">
        <v>0</v>
      </c>
      <c r="E23" s="26">
        <f>72878.66+15918.84</f>
        <v>88797.5</v>
      </c>
      <c r="F23" s="26">
        <v>328244.7</v>
      </c>
      <c r="G23" s="26">
        <f>72878.66+4694.55</f>
        <v>77573.210000000006</v>
      </c>
      <c r="H23" s="26">
        <v>0</v>
      </c>
      <c r="I23" s="26">
        <f>36439.33+32179.3+22687.08</f>
        <v>91305.71</v>
      </c>
      <c r="J23" s="26">
        <f>36439.33+106141+47560.78</f>
        <v>190141.11000000002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f t="shared" si="3"/>
        <v>776062.23</v>
      </c>
    </row>
    <row r="24" spans="1:16" x14ac:dyDescent="0.25">
      <c r="A24" s="6" t="s">
        <v>14</v>
      </c>
      <c r="B24" s="15">
        <f>12000+100000+250000+600000+5249500+100000+7071675+3280000</f>
        <v>16663175</v>
      </c>
      <c r="C24" s="11">
        <v>0</v>
      </c>
      <c r="D24" s="26">
        <v>0</v>
      </c>
      <c r="E24" s="26">
        <f>95364.9+16000+1123653.95</f>
        <v>1235018.8499999999</v>
      </c>
      <c r="F24" s="26">
        <f>87875.54+361000</f>
        <v>448875.54</v>
      </c>
      <c r="G24" s="26">
        <f>23841.27+206700.6+39975+29500+309171.59</f>
        <v>609188.46</v>
      </c>
      <c r="H24" s="26">
        <f>127499.99+203373-29500+1926422.22</f>
        <v>2227795.21</v>
      </c>
      <c r="I24" s="26">
        <f>33040+84999.99+141883.2+87075+171312.4+581956.78</f>
        <v>1100267.3700000001</v>
      </c>
      <c r="J24" s="26">
        <f>34810+141600+134559.99-75449.2+53100+197150+251311.57+315071.59</f>
        <v>1052153.95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f t="shared" si="3"/>
        <v>6673299.3799999999</v>
      </c>
    </row>
    <row r="25" spans="1:16" x14ac:dyDescent="0.25">
      <c r="A25" s="6" t="s">
        <v>38</v>
      </c>
      <c r="B25" s="12">
        <v>2100548</v>
      </c>
      <c r="C25" s="11">
        <v>0</v>
      </c>
      <c r="D25" s="26">
        <v>51600</v>
      </c>
      <c r="E25" s="26">
        <f>25000+25200</f>
        <v>50200</v>
      </c>
      <c r="F25" s="26">
        <f>30562+249596.65</f>
        <v>280158.65000000002</v>
      </c>
      <c r="G25" s="26">
        <v>408823.7</v>
      </c>
      <c r="H25" s="26">
        <v>247392.9</v>
      </c>
      <c r="I25" s="26">
        <f>35400+115286</f>
        <v>150686</v>
      </c>
      <c r="J25" s="26">
        <f>329470+76906.5+323279.7</f>
        <v>729656.2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f t="shared" si="3"/>
        <v>1918517.45</v>
      </c>
    </row>
    <row r="26" spans="1:16" x14ac:dyDescent="0.25">
      <c r="A26" s="2" t="s">
        <v>15</v>
      </c>
      <c r="B26" s="11">
        <f t="shared" ref="B26:P26" si="4">+SUM(B27:B35)</f>
        <v>3425750</v>
      </c>
      <c r="C26" s="11">
        <f t="shared" si="4"/>
        <v>0</v>
      </c>
      <c r="D26" s="11">
        <f t="shared" si="4"/>
        <v>0</v>
      </c>
      <c r="E26" s="11">
        <f t="shared" si="4"/>
        <v>258650.7</v>
      </c>
      <c r="F26" s="11">
        <f t="shared" si="4"/>
        <v>571420.75</v>
      </c>
      <c r="G26" s="11">
        <f t="shared" si="4"/>
        <v>251545.24</v>
      </c>
      <c r="H26" s="11">
        <f t="shared" si="4"/>
        <v>668032.19999999995</v>
      </c>
      <c r="I26" s="11">
        <f t="shared" si="4"/>
        <v>312020.5</v>
      </c>
      <c r="J26" s="11">
        <f t="shared" si="4"/>
        <v>483529.92</v>
      </c>
      <c r="K26" s="11">
        <f t="shared" si="4"/>
        <v>0</v>
      </c>
      <c r="L26" s="11">
        <f t="shared" si="4"/>
        <v>0</v>
      </c>
      <c r="M26" s="11">
        <f t="shared" si="4"/>
        <v>0</v>
      </c>
      <c r="N26" s="11">
        <f t="shared" si="4"/>
        <v>0</v>
      </c>
      <c r="O26" s="11">
        <f t="shared" si="4"/>
        <v>0</v>
      </c>
      <c r="P26" s="11">
        <f t="shared" si="4"/>
        <v>2545199.31</v>
      </c>
    </row>
    <row r="27" spans="1:16" x14ac:dyDescent="0.25">
      <c r="A27" s="6" t="s">
        <v>16</v>
      </c>
      <c r="B27" s="15">
        <f>174750+12000</f>
        <v>186750</v>
      </c>
      <c r="C27" s="11">
        <v>0</v>
      </c>
      <c r="D27" s="26">
        <v>0</v>
      </c>
      <c r="E27" s="26">
        <v>1330</v>
      </c>
      <c r="F27" s="26">
        <v>136403.69</v>
      </c>
      <c r="G27" s="26">
        <v>5760</v>
      </c>
      <c r="H27" s="26">
        <v>6300</v>
      </c>
      <c r="I27" s="26">
        <v>0</v>
      </c>
      <c r="J27" s="26">
        <v>49356.800000000003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f t="shared" ref="P27:P35" si="5">+SUM(D27:O27)</f>
        <v>199150.49</v>
      </c>
    </row>
    <row r="28" spans="1:16" x14ac:dyDescent="0.25">
      <c r="A28" s="6" t="s">
        <v>17</v>
      </c>
      <c r="B28" s="15">
        <f>12000+300000</f>
        <v>312000</v>
      </c>
      <c r="C28" s="11">
        <v>0</v>
      </c>
      <c r="D28" s="26">
        <v>0</v>
      </c>
      <c r="E28" s="26">
        <v>0</v>
      </c>
      <c r="F28" s="26">
        <v>0</v>
      </c>
      <c r="G28" s="26">
        <v>0</v>
      </c>
      <c r="H28" s="26">
        <v>300099.96000000002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f t="shared" si="5"/>
        <v>300099.96000000002</v>
      </c>
    </row>
    <row r="29" spans="1:16" x14ac:dyDescent="0.25">
      <c r="A29" s="6" t="s">
        <v>18</v>
      </c>
      <c r="B29" s="15">
        <f>50000+100000+455000</f>
        <v>605000</v>
      </c>
      <c r="C29" s="11">
        <v>0</v>
      </c>
      <c r="D29" s="26">
        <v>0</v>
      </c>
      <c r="E29" s="26">
        <f>9381+115876</f>
        <v>125257</v>
      </c>
      <c r="F29" s="26">
        <v>40922.400000000001</v>
      </c>
      <c r="G29" s="26">
        <f>39666.88+17915.8+66060.77</f>
        <v>123643.45</v>
      </c>
      <c r="H29" s="26">
        <v>125858.68</v>
      </c>
      <c r="I29" s="26">
        <v>92061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f t="shared" si="5"/>
        <v>507742.52999999997</v>
      </c>
    </row>
    <row r="30" spans="1:16" x14ac:dyDescent="0.25">
      <c r="A30" s="6" t="s">
        <v>19</v>
      </c>
      <c r="B30" s="15">
        <v>30000</v>
      </c>
      <c r="C30" s="11">
        <v>0</v>
      </c>
      <c r="D30" s="26">
        <v>0</v>
      </c>
      <c r="E30" s="26">
        <v>0</v>
      </c>
      <c r="F30" s="26">
        <v>29291.55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f t="shared" si="5"/>
        <v>29291.55</v>
      </c>
    </row>
    <row r="31" spans="1:16" x14ac:dyDescent="0.25">
      <c r="A31" s="6" t="s">
        <v>20</v>
      </c>
      <c r="B31" s="15">
        <f>128000+12000</f>
        <v>140000</v>
      </c>
      <c r="C31" s="11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f t="shared" si="5"/>
        <v>0</v>
      </c>
    </row>
    <row r="32" spans="1:16" x14ac:dyDescent="0.25">
      <c r="A32" s="6" t="s">
        <v>21</v>
      </c>
      <c r="B32" s="15">
        <f>12000+10000</f>
        <v>22000</v>
      </c>
      <c r="C32" s="11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f t="shared" si="5"/>
        <v>0</v>
      </c>
    </row>
    <row r="33" spans="1:16" x14ac:dyDescent="0.25">
      <c r="A33" s="6" t="s">
        <v>22</v>
      </c>
      <c r="B33" s="15">
        <f>800000+10000+25000</f>
        <v>835000</v>
      </c>
      <c r="C33" s="11">
        <v>0</v>
      </c>
      <c r="D33" s="26">
        <v>0</v>
      </c>
      <c r="E33" s="26">
        <v>0</v>
      </c>
      <c r="F33" s="26">
        <f>185000+12000+1628.4</f>
        <v>198628.4</v>
      </c>
      <c r="G33" s="26">
        <v>0</v>
      </c>
      <c r="H33" s="26">
        <v>4646.25</v>
      </c>
      <c r="I33" s="26">
        <v>219959.5</v>
      </c>
      <c r="J33" s="26">
        <v>11151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f t="shared" si="5"/>
        <v>434385.15</v>
      </c>
    </row>
    <row r="34" spans="1:16" ht="30" x14ac:dyDescent="0.25">
      <c r="A34" s="6" t="s">
        <v>39</v>
      </c>
      <c r="B34" s="15">
        <v>0</v>
      </c>
      <c r="C34" s="11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f t="shared" si="5"/>
        <v>0</v>
      </c>
    </row>
    <row r="35" spans="1:16" x14ac:dyDescent="0.25">
      <c r="A35" s="6" t="s">
        <v>23</v>
      </c>
      <c r="B35" s="15">
        <f>150000+650000+25000+50000+20000+300000+100000</f>
        <v>1295000</v>
      </c>
      <c r="C35" s="11"/>
      <c r="D35" s="26">
        <v>0</v>
      </c>
      <c r="E35" s="26">
        <f>103219.78+3894+24949.92</f>
        <v>132063.70000000001</v>
      </c>
      <c r="F35" s="26">
        <f>5333.6+6012.1+1480.28+10144.22+143204.51</f>
        <v>166174.71000000002</v>
      </c>
      <c r="G35" s="26">
        <f>112494.04+9647.75</f>
        <v>122141.79</v>
      </c>
      <c r="H35" s="26">
        <f>36598.7+4720+27924.41+78163.2+83721</f>
        <v>231127.31</v>
      </c>
      <c r="I35" s="26">
        <v>0</v>
      </c>
      <c r="J35" s="26">
        <f>87907.64+79909.98+20284.2+8909+71921+149488.3+4602</f>
        <v>423022.12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f t="shared" si="5"/>
        <v>1074529.6299999999</v>
      </c>
    </row>
    <row r="36" spans="1:16" x14ac:dyDescent="0.25">
      <c r="A36" s="2" t="s">
        <v>24</v>
      </c>
      <c r="B36" s="11">
        <f>+SUM(B37:B43)</f>
        <v>0</v>
      </c>
      <c r="C36" s="11">
        <f>+SUM(C37:C43)</f>
        <v>0</v>
      </c>
      <c r="D36" s="11">
        <f>+SUM(D37:D43)</f>
        <v>0</v>
      </c>
      <c r="E36" s="11">
        <f t="shared" ref="E36:O36" si="6">+SUM(E37:E43)</f>
        <v>0</v>
      </c>
      <c r="F36" s="11">
        <f t="shared" si="6"/>
        <v>0</v>
      </c>
      <c r="G36" s="11">
        <f t="shared" si="6"/>
        <v>0</v>
      </c>
      <c r="H36" s="11">
        <f t="shared" si="6"/>
        <v>0</v>
      </c>
      <c r="I36" s="11">
        <f t="shared" si="6"/>
        <v>0</v>
      </c>
      <c r="J36" s="11">
        <f t="shared" si="6"/>
        <v>0</v>
      </c>
      <c r="K36" s="11">
        <f t="shared" si="6"/>
        <v>0</v>
      </c>
      <c r="L36" s="11">
        <f t="shared" si="6"/>
        <v>0</v>
      </c>
      <c r="M36" s="11">
        <f t="shared" si="6"/>
        <v>0</v>
      </c>
      <c r="N36" s="11">
        <f t="shared" si="6"/>
        <v>0</v>
      </c>
      <c r="O36" s="11">
        <f t="shared" si="6"/>
        <v>0</v>
      </c>
      <c r="P36" s="11">
        <f>+SUM(P37:P43)</f>
        <v>0</v>
      </c>
    </row>
    <row r="37" spans="1:16" x14ac:dyDescent="0.25">
      <c r="A37" s="6" t="s">
        <v>25</v>
      </c>
      <c r="B37" s="26"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f t="shared" ref="P37:P43" si="7">+SUM(D37:O37)</f>
        <v>0</v>
      </c>
    </row>
    <row r="38" spans="1:16" x14ac:dyDescent="0.25">
      <c r="A38" s="6" t="s">
        <v>40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f t="shared" si="7"/>
        <v>0</v>
      </c>
    </row>
    <row r="39" spans="1:16" x14ac:dyDescent="0.25">
      <c r="A39" s="6" t="s">
        <v>41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f t="shared" si="7"/>
        <v>0</v>
      </c>
    </row>
    <row r="40" spans="1:16" x14ac:dyDescent="0.25">
      <c r="A40" s="6" t="s">
        <v>42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f t="shared" si="7"/>
        <v>0</v>
      </c>
    </row>
    <row r="41" spans="1:16" ht="30" x14ac:dyDescent="0.25">
      <c r="A41" s="6" t="s">
        <v>43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f t="shared" si="7"/>
        <v>0</v>
      </c>
    </row>
    <row r="42" spans="1:16" x14ac:dyDescent="0.25">
      <c r="A42" s="6" t="s">
        <v>26</v>
      </c>
      <c r="B42" s="26"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f t="shared" si="7"/>
        <v>0</v>
      </c>
    </row>
    <row r="43" spans="1:16" x14ac:dyDescent="0.25">
      <c r="A43" s="6" t="s">
        <v>44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f t="shared" si="7"/>
        <v>0</v>
      </c>
    </row>
    <row r="44" spans="1:16" x14ac:dyDescent="0.25">
      <c r="A44" s="2" t="s">
        <v>45</v>
      </c>
      <c r="B44" s="11">
        <f>+SUM(B45:B51)</f>
        <v>0</v>
      </c>
      <c r="C44" s="11">
        <f>+SUM(C45:C51)</f>
        <v>0</v>
      </c>
      <c r="D44" s="11">
        <f>+SUM(D45:D51)</f>
        <v>0</v>
      </c>
      <c r="E44" s="11">
        <f t="shared" ref="E44:P44" si="8">+SUM(E45:E51)</f>
        <v>0</v>
      </c>
      <c r="F44" s="11">
        <f t="shared" si="8"/>
        <v>0</v>
      </c>
      <c r="G44" s="11">
        <f t="shared" si="8"/>
        <v>0</v>
      </c>
      <c r="H44" s="11">
        <f t="shared" si="8"/>
        <v>0</v>
      </c>
      <c r="I44" s="11">
        <f t="shared" si="8"/>
        <v>0</v>
      </c>
      <c r="J44" s="11">
        <f t="shared" si="8"/>
        <v>0</v>
      </c>
      <c r="K44" s="11">
        <f t="shared" si="8"/>
        <v>0</v>
      </c>
      <c r="L44" s="11">
        <f t="shared" si="8"/>
        <v>0</v>
      </c>
      <c r="M44" s="11">
        <f t="shared" si="8"/>
        <v>0</v>
      </c>
      <c r="N44" s="11">
        <f t="shared" si="8"/>
        <v>0</v>
      </c>
      <c r="O44" s="11">
        <f t="shared" si="8"/>
        <v>0</v>
      </c>
      <c r="P44" s="11">
        <f t="shared" si="8"/>
        <v>0</v>
      </c>
    </row>
    <row r="45" spans="1:16" x14ac:dyDescent="0.25">
      <c r="A45" s="6" t="s">
        <v>46</v>
      </c>
      <c r="B45" s="17">
        <v>0</v>
      </c>
      <c r="C45" s="17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f t="shared" ref="P45:P51" si="9">+SUM(D45:O45)</f>
        <v>0</v>
      </c>
    </row>
    <row r="46" spans="1:16" x14ac:dyDescent="0.25">
      <c r="A46" s="6" t="s">
        <v>47</v>
      </c>
      <c r="B46" s="17">
        <v>0</v>
      </c>
      <c r="C46" s="17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f t="shared" si="9"/>
        <v>0</v>
      </c>
    </row>
    <row r="47" spans="1:16" x14ac:dyDescent="0.25">
      <c r="A47" s="6" t="s">
        <v>48</v>
      </c>
      <c r="B47" s="17">
        <v>0</v>
      </c>
      <c r="C47" s="17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f t="shared" si="9"/>
        <v>0</v>
      </c>
    </row>
    <row r="48" spans="1:16" x14ac:dyDescent="0.25">
      <c r="A48" s="6" t="s">
        <v>49</v>
      </c>
      <c r="B48" s="17">
        <v>0</v>
      </c>
      <c r="C48" s="17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f t="shared" si="9"/>
        <v>0</v>
      </c>
    </row>
    <row r="49" spans="1:22" x14ac:dyDescent="0.25">
      <c r="A49" s="6" t="s">
        <v>50</v>
      </c>
      <c r="B49" s="17">
        <v>0</v>
      </c>
      <c r="C49" s="17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f t="shared" si="9"/>
        <v>0</v>
      </c>
    </row>
    <row r="50" spans="1:22" x14ac:dyDescent="0.25">
      <c r="A50" s="6" t="s">
        <v>51</v>
      </c>
      <c r="B50" s="17">
        <v>0</v>
      </c>
      <c r="C50" s="17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f t="shared" si="9"/>
        <v>0</v>
      </c>
    </row>
    <row r="51" spans="1:22" x14ac:dyDescent="0.25">
      <c r="A51" s="6" t="s">
        <v>52</v>
      </c>
      <c r="B51" s="17">
        <v>0</v>
      </c>
      <c r="C51" s="17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f t="shared" si="9"/>
        <v>0</v>
      </c>
    </row>
    <row r="52" spans="1:22" x14ac:dyDescent="0.25">
      <c r="A52" s="2" t="s">
        <v>27</v>
      </c>
      <c r="B52" s="11">
        <f t="shared" ref="B52:P52" si="10">+SUM(B53:B61)</f>
        <v>1070000</v>
      </c>
      <c r="C52" s="11">
        <f t="shared" si="10"/>
        <v>0</v>
      </c>
      <c r="D52" s="11">
        <f t="shared" si="10"/>
        <v>0</v>
      </c>
      <c r="E52" s="11">
        <f t="shared" si="10"/>
        <v>139524.18</v>
      </c>
      <c r="F52" s="11">
        <f t="shared" si="10"/>
        <v>335870.14</v>
      </c>
      <c r="G52" s="11">
        <f t="shared" si="10"/>
        <v>145361.84</v>
      </c>
      <c r="H52" s="11">
        <f t="shared" si="10"/>
        <v>0</v>
      </c>
      <c r="I52" s="11">
        <f t="shared" si="10"/>
        <v>734501.03</v>
      </c>
      <c r="J52" s="11">
        <f t="shared" si="10"/>
        <v>18956.7</v>
      </c>
      <c r="K52" s="11">
        <f t="shared" si="10"/>
        <v>0</v>
      </c>
      <c r="L52" s="11">
        <f t="shared" si="10"/>
        <v>0</v>
      </c>
      <c r="M52" s="11">
        <f t="shared" si="10"/>
        <v>0</v>
      </c>
      <c r="N52" s="11">
        <f t="shared" si="10"/>
        <v>0</v>
      </c>
      <c r="O52" s="11">
        <f t="shared" si="10"/>
        <v>0</v>
      </c>
      <c r="P52" s="11">
        <f t="shared" si="10"/>
        <v>1374213.8900000001</v>
      </c>
    </row>
    <row r="53" spans="1:22" x14ac:dyDescent="0.25">
      <c r="A53" s="6" t="s">
        <v>28</v>
      </c>
      <c r="B53" s="17">
        <v>1070000</v>
      </c>
      <c r="C53" s="11">
        <v>0</v>
      </c>
      <c r="D53" s="26">
        <v>0</v>
      </c>
      <c r="E53" s="26">
        <v>106189.18</v>
      </c>
      <c r="F53" s="26">
        <v>40870.14</v>
      </c>
      <c r="G53" s="26">
        <v>145361.84</v>
      </c>
      <c r="H53" s="26">
        <v>0</v>
      </c>
      <c r="I53" s="26">
        <f>5074+38350+56709.03</f>
        <v>100133.03</v>
      </c>
      <c r="J53" s="26">
        <v>18956.7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f t="shared" ref="P53:P61" si="11">+SUM(D53:O53)</f>
        <v>411510.89000000007</v>
      </c>
    </row>
    <row r="54" spans="1:22" x14ac:dyDescent="0.25">
      <c r="A54" s="6" t="s">
        <v>29</v>
      </c>
      <c r="B54" s="17">
        <v>0</v>
      </c>
      <c r="C54" s="11">
        <v>0</v>
      </c>
      <c r="D54" s="26">
        <v>0</v>
      </c>
      <c r="E54" s="26">
        <v>22656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f t="shared" si="11"/>
        <v>22656</v>
      </c>
    </row>
    <row r="55" spans="1:22" x14ac:dyDescent="0.25">
      <c r="A55" s="6" t="s">
        <v>30</v>
      </c>
      <c r="B55" s="17">
        <v>0</v>
      </c>
      <c r="C55" s="17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f t="shared" si="11"/>
        <v>0</v>
      </c>
    </row>
    <row r="56" spans="1:22" x14ac:dyDescent="0.25">
      <c r="A56" s="6" t="s">
        <v>31</v>
      </c>
      <c r="B56" s="17">
        <v>0</v>
      </c>
      <c r="C56" s="17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f t="shared" si="11"/>
        <v>0</v>
      </c>
    </row>
    <row r="57" spans="1:22" x14ac:dyDescent="0.25">
      <c r="A57" s="6" t="s">
        <v>32</v>
      </c>
      <c r="B57" s="17">
        <v>0</v>
      </c>
      <c r="C57" s="17">
        <v>0</v>
      </c>
      <c r="D57" s="26">
        <v>0</v>
      </c>
      <c r="E57" s="26">
        <v>10679</v>
      </c>
      <c r="F57" s="26">
        <v>0</v>
      </c>
      <c r="G57" s="26">
        <v>0</v>
      </c>
      <c r="H57" s="26">
        <v>0</v>
      </c>
      <c r="I57" s="26">
        <v>44368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f t="shared" si="11"/>
        <v>55047</v>
      </c>
    </row>
    <row r="58" spans="1:22" x14ac:dyDescent="0.25">
      <c r="A58" s="6" t="s">
        <v>53</v>
      </c>
      <c r="B58" s="17">
        <v>0</v>
      </c>
      <c r="C58" s="17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f t="shared" si="11"/>
        <v>0</v>
      </c>
    </row>
    <row r="59" spans="1:22" x14ac:dyDescent="0.25">
      <c r="A59" s="6" t="s">
        <v>54</v>
      </c>
      <c r="B59" s="17">
        <v>0</v>
      </c>
      <c r="C59" s="17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f t="shared" si="11"/>
        <v>0</v>
      </c>
    </row>
    <row r="60" spans="1:22" x14ac:dyDescent="0.25">
      <c r="A60" s="6" t="s">
        <v>33</v>
      </c>
      <c r="B60" s="17">
        <v>0</v>
      </c>
      <c r="C60" s="11"/>
      <c r="D60" s="26">
        <v>0</v>
      </c>
      <c r="E60" s="26">
        <v>0</v>
      </c>
      <c r="F60" s="26">
        <v>295000</v>
      </c>
      <c r="G60" s="26">
        <v>0</v>
      </c>
      <c r="H60" s="26">
        <v>0</v>
      </c>
      <c r="I60" s="26">
        <v>590000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f t="shared" si="11"/>
        <v>885000</v>
      </c>
    </row>
    <row r="61" spans="1:22" x14ac:dyDescent="0.25">
      <c r="A61" s="6" t="s">
        <v>55</v>
      </c>
      <c r="B61" s="17">
        <v>0</v>
      </c>
      <c r="C61" s="17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f t="shared" si="11"/>
        <v>0</v>
      </c>
    </row>
    <row r="62" spans="1:22" x14ac:dyDescent="0.25">
      <c r="A62" s="2" t="s">
        <v>56</v>
      </c>
      <c r="B62" s="11">
        <f>+SUM(B63:B66)</f>
        <v>0</v>
      </c>
      <c r="C62" s="11">
        <f>+SUM(C63:C66)</f>
        <v>0</v>
      </c>
      <c r="D62" s="11">
        <f>+SUM(D63:D66)</f>
        <v>0</v>
      </c>
      <c r="E62" s="11">
        <f t="shared" ref="E62:P62" si="12">+SUM(E63:E66)</f>
        <v>0</v>
      </c>
      <c r="F62" s="11">
        <f t="shared" si="12"/>
        <v>0</v>
      </c>
      <c r="G62" s="11">
        <f t="shared" si="12"/>
        <v>0</v>
      </c>
      <c r="H62" s="11">
        <f t="shared" si="12"/>
        <v>0</v>
      </c>
      <c r="I62" s="11">
        <f t="shared" si="12"/>
        <v>0</v>
      </c>
      <c r="J62" s="11">
        <f t="shared" si="12"/>
        <v>0</v>
      </c>
      <c r="K62" s="11">
        <f t="shared" si="12"/>
        <v>0</v>
      </c>
      <c r="L62" s="11">
        <f t="shared" si="12"/>
        <v>0</v>
      </c>
      <c r="M62" s="11">
        <f t="shared" si="12"/>
        <v>0</v>
      </c>
      <c r="N62" s="11">
        <f t="shared" si="12"/>
        <v>0</v>
      </c>
      <c r="O62" s="11">
        <f t="shared" si="12"/>
        <v>0</v>
      </c>
      <c r="P62" s="11">
        <f t="shared" si="12"/>
        <v>0</v>
      </c>
    </row>
    <row r="63" spans="1:22" x14ac:dyDescent="0.25">
      <c r="A63" s="6" t="s">
        <v>57</v>
      </c>
      <c r="B63" s="17">
        <v>0</v>
      </c>
      <c r="C63" s="17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f>+SUM(D63:O63)</f>
        <v>0</v>
      </c>
      <c r="Q63" s="27"/>
      <c r="R63" s="27"/>
      <c r="S63" s="27"/>
      <c r="T63" s="27"/>
      <c r="U63" s="27"/>
      <c r="V63" s="27"/>
    </row>
    <row r="64" spans="1:22" x14ac:dyDescent="0.25">
      <c r="A64" s="6" t="s">
        <v>58</v>
      </c>
      <c r="B64" s="17">
        <v>0</v>
      </c>
      <c r="C64" s="17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f>+SUM(D64:O64)</f>
        <v>0</v>
      </c>
      <c r="Q64" s="27"/>
      <c r="R64" s="27"/>
      <c r="S64" s="27"/>
      <c r="T64" s="27"/>
      <c r="U64" s="27"/>
      <c r="V64" s="27"/>
    </row>
    <row r="65" spans="1:22" x14ac:dyDescent="0.25">
      <c r="A65" s="6" t="s">
        <v>59</v>
      </c>
      <c r="B65" s="17">
        <v>0</v>
      </c>
      <c r="C65" s="17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f>+SUM(D65:O65)</f>
        <v>0</v>
      </c>
      <c r="Q65" s="27"/>
      <c r="R65" s="27"/>
      <c r="S65" s="27"/>
      <c r="T65" s="27"/>
      <c r="U65" s="27"/>
      <c r="V65" s="27"/>
    </row>
    <row r="66" spans="1:22" ht="30" x14ac:dyDescent="0.25">
      <c r="A66" s="6" t="s">
        <v>60</v>
      </c>
      <c r="B66" s="17">
        <v>0</v>
      </c>
      <c r="C66" s="17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f>+SUM(D66:O66)</f>
        <v>0</v>
      </c>
      <c r="Q66" s="27"/>
      <c r="R66" s="27"/>
      <c r="S66" s="27"/>
      <c r="T66" s="27"/>
      <c r="U66" s="27"/>
      <c r="V66" s="27"/>
    </row>
    <row r="67" spans="1:22" x14ac:dyDescent="0.25">
      <c r="A67" s="2" t="s">
        <v>61</v>
      </c>
      <c r="B67" s="11">
        <f>+SUM(B68:B69)</f>
        <v>0</v>
      </c>
      <c r="C67" s="11">
        <f t="shared" ref="C67:P67" si="13">+SUM(C68:C69)</f>
        <v>0</v>
      </c>
      <c r="D67" s="11">
        <f t="shared" si="13"/>
        <v>0</v>
      </c>
      <c r="E67" s="11">
        <f t="shared" si="13"/>
        <v>0</v>
      </c>
      <c r="F67" s="11">
        <f t="shared" si="13"/>
        <v>0</v>
      </c>
      <c r="G67" s="11">
        <f t="shared" si="13"/>
        <v>0</v>
      </c>
      <c r="H67" s="11">
        <f t="shared" si="13"/>
        <v>0</v>
      </c>
      <c r="I67" s="11">
        <f t="shared" si="13"/>
        <v>0</v>
      </c>
      <c r="J67" s="11">
        <f t="shared" si="13"/>
        <v>0</v>
      </c>
      <c r="K67" s="11">
        <f t="shared" si="13"/>
        <v>0</v>
      </c>
      <c r="L67" s="11">
        <f t="shared" si="13"/>
        <v>0</v>
      </c>
      <c r="M67" s="11">
        <f t="shared" si="13"/>
        <v>0</v>
      </c>
      <c r="N67" s="11">
        <f t="shared" si="13"/>
        <v>0</v>
      </c>
      <c r="O67" s="11">
        <f t="shared" si="13"/>
        <v>0</v>
      </c>
      <c r="P67" s="11">
        <f t="shared" si="13"/>
        <v>0</v>
      </c>
    </row>
    <row r="68" spans="1:22" x14ac:dyDescent="0.25">
      <c r="A68" s="6" t="s">
        <v>62</v>
      </c>
      <c r="B68" s="17">
        <v>0</v>
      </c>
      <c r="C68" s="17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f>+SUM(D68:O68)</f>
        <v>0</v>
      </c>
    </row>
    <row r="69" spans="1:22" x14ac:dyDescent="0.25">
      <c r="A69" s="6" t="s">
        <v>63</v>
      </c>
      <c r="B69" s="17">
        <v>0</v>
      </c>
      <c r="C69" s="17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f>+SUM(D69:O69)</f>
        <v>0</v>
      </c>
    </row>
    <row r="70" spans="1:22" x14ac:dyDescent="0.25">
      <c r="A70" s="2" t="s">
        <v>64</v>
      </c>
      <c r="B70" s="11">
        <f>+SUM(B71:B73)</f>
        <v>0</v>
      </c>
      <c r="C70" s="11">
        <f t="shared" ref="C70:P70" si="14">+SUM(C71:C73)</f>
        <v>0</v>
      </c>
      <c r="D70" s="11">
        <f t="shared" si="14"/>
        <v>0</v>
      </c>
      <c r="E70" s="11">
        <f t="shared" si="14"/>
        <v>0</v>
      </c>
      <c r="F70" s="11">
        <f t="shared" si="14"/>
        <v>0</v>
      </c>
      <c r="G70" s="11">
        <f t="shared" si="14"/>
        <v>0</v>
      </c>
      <c r="H70" s="11">
        <f t="shared" si="14"/>
        <v>0</v>
      </c>
      <c r="I70" s="11">
        <f t="shared" si="14"/>
        <v>0</v>
      </c>
      <c r="J70" s="11">
        <f t="shared" si="14"/>
        <v>0</v>
      </c>
      <c r="K70" s="11">
        <f t="shared" si="14"/>
        <v>0</v>
      </c>
      <c r="L70" s="11">
        <f t="shared" si="14"/>
        <v>0</v>
      </c>
      <c r="M70" s="11">
        <f t="shared" si="14"/>
        <v>0</v>
      </c>
      <c r="N70" s="11">
        <f t="shared" si="14"/>
        <v>0</v>
      </c>
      <c r="O70" s="11">
        <f t="shared" si="14"/>
        <v>0</v>
      </c>
      <c r="P70" s="11">
        <f t="shared" si="14"/>
        <v>0</v>
      </c>
    </row>
    <row r="71" spans="1:22" x14ac:dyDescent="0.25">
      <c r="A71" s="6" t="s">
        <v>65</v>
      </c>
      <c r="B71" s="17">
        <v>0</v>
      </c>
      <c r="C71" s="17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f>+SUM(D71:O71)</f>
        <v>0</v>
      </c>
    </row>
    <row r="72" spans="1:22" x14ac:dyDescent="0.25">
      <c r="A72" s="6" t="s">
        <v>66</v>
      </c>
      <c r="B72" s="17">
        <v>0</v>
      </c>
      <c r="C72" s="17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f>+SUM(D72:O72)</f>
        <v>0</v>
      </c>
    </row>
    <row r="73" spans="1:22" x14ac:dyDescent="0.25">
      <c r="A73" s="6" t="s">
        <v>67</v>
      </c>
      <c r="B73" s="17">
        <v>0</v>
      </c>
      <c r="C73" s="17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f>+SUM(D73:O73)</f>
        <v>0</v>
      </c>
    </row>
    <row r="74" spans="1:22" x14ac:dyDescent="0.25">
      <c r="A74" s="7" t="s">
        <v>34</v>
      </c>
      <c r="B74" s="13">
        <f t="shared" ref="B74:P74" si="15">+B70+B67+B62+B52+B44+B36+B26+B16+B10</f>
        <v>116611243</v>
      </c>
      <c r="C74" s="13">
        <f t="shared" si="15"/>
        <v>0</v>
      </c>
      <c r="D74" s="13">
        <f t="shared" si="15"/>
        <v>5007247.54</v>
      </c>
      <c r="E74" s="13">
        <f t="shared" si="15"/>
        <v>8332239.8299999991</v>
      </c>
      <c r="F74" s="13">
        <f t="shared" si="15"/>
        <v>9484432.2199999988</v>
      </c>
      <c r="G74" s="13">
        <f t="shared" si="15"/>
        <v>10982730.93</v>
      </c>
      <c r="H74" s="13">
        <f t="shared" si="15"/>
        <v>8554007.2300000004</v>
      </c>
      <c r="I74" s="13">
        <f t="shared" si="15"/>
        <v>9427676.790000001</v>
      </c>
      <c r="J74" s="13">
        <f t="shared" si="15"/>
        <v>9446052.4600000009</v>
      </c>
      <c r="K74" s="13">
        <f t="shared" si="15"/>
        <v>0</v>
      </c>
      <c r="L74" s="13">
        <f t="shared" si="15"/>
        <v>0</v>
      </c>
      <c r="M74" s="13">
        <f t="shared" si="15"/>
        <v>0</v>
      </c>
      <c r="N74" s="13">
        <f t="shared" si="15"/>
        <v>0</v>
      </c>
      <c r="O74" s="13">
        <f t="shared" si="15"/>
        <v>0</v>
      </c>
      <c r="P74" s="13">
        <f t="shared" si="15"/>
        <v>61234386.999999993</v>
      </c>
    </row>
    <row r="75" spans="1:22" x14ac:dyDescent="0.25">
      <c r="A75" s="3"/>
      <c r="B75" s="12"/>
      <c r="C75" s="10"/>
      <c r="D75" s="10"/>
    </row>
    <row r="76" spans="1:22" x14ac:dyDescent="0.25">
      <c r="A76" s="1" t="s">
        <v>68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22" x14ac:dyDescent="0.25">
      <c r="A77" s="2" t="s">
        <v>69</v>
      </c>
      <c r="B77" s="9">
        <f>+SUM(B78:B79)</f>
        <v>0</v>
      </c>
      <c r="C77" s="9">
        <f t="shared" ref="C77:P77" si="16">+SUM(C78:C79)</f>
        <v>0</v>
      </c>
      <c r="D77" s="9">
        <f t="shared" si="16"/>
        <v>0</v>
      </c>
      <c r="E77" s="9">
        <f t="shared" si="16"/>
        <v>0</v>
      </c>
      <c r="F77" s="9">
        <f t="shared" si="16"/>
        <v>0</v>
      </c>
      <c r="G77" s="9">
        <f t="shared" si="16"/>
        <v>0</v>
      </c>
      <c r="H77" s="9">
        <f t="shared" si="16"/>
        <v>0</v>
      </c>
      <c r="I77" s="9">
        <f t="shared" si="16"/>
        <v>0</v>
      </c>
      <c r="J77" s="9">
        <f t="shared" si="16"/>
        <v>0</v>
      </c>
      <c r="K77" s="9">
        <f t="shared" si="16"/>
        <v>0</v>
      </c>
      <c r="L77" s="9">
        <f t="shared" si="16"/>
        <v>0</v>
      </c>
      <c r="M77" s="9">
        <f t="shared" si="16"/>
        <v>0</v>
      </c>
      <c r="N77" s="9">
        <f t="shared" si="16"/>
        <v>0</v>
      </c>
      <c r="O77" s="9">
        <f t="shared" si="16"/>
        <v>0</v>
      </c>
      <c r="P77" s="9">
        <f t="shared" si="16"/>
        <v>0</v>
      </c>
    </row>
    <row r="78" spans="1:22" x14ac:dyDescent="0.25">
      <c r="A78" s="6" t="s">
        <v>70</v>
      </c>
      <c r="B78" s="4">
        <v>0</v>
      </c>
      <c r="C78" s="10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f>+SUM(D78:O78)</f>
        <v>0</v>
      </c>
    </row>
    <row r="79" spans="1:22" x14ac:dyDescent="0.25">
      <c r="A79" s="6" t="s">
        <v>71</v>
      </c>
      <c r="B79" s="4">
        <v>0</v>
      </c>
      <c r="C79" s="10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f>+SUM(D79:O79)</f>
        <v>0</v>
      </c>
    </row>
    <row r="80" spans="1:22" x14ac:dyDescent="0.25">
      <c r="A80" s="2" t="s">
        <v>72</v>
      </c>
      <c r="B80" s="9">
        <f>+SUM(B81:B82)</f>
        <v>0</v>
      </c>
      <c r="C80" s="9">
        <f t="shared" ref="C80:P80" si="17">+SUM(C81:C82)</f>
        <v>0</v>
      </c>
      <c r="D80" s="9">
        <f t="shared" si="17"/>
        <v>0</v>
      </c>
      <c r="E80" s="9">
        <f t="shared" si="17"/>
        <v>0</v>
      </c>
      <c r="F80" s="9">
        <f t="shared" si="17"/>
        <v>0</v>
      </c>
      <c r="G80" s="9">
        <f t="shared" si="17"/>
        <v>0</v>
      </c>
      <c r="H80" s="9">
        <f t="shared" si="17"/>
        <v>0</v>
      </c>
      <c r="I80" s="9">
        <f t="shared" si="17"/>
        <v>0</v>
      </c>
      <c r="J80" s="9">
        <f t="shared" si="17"/>
        <v>0</v>
      </c>
      <c r="K80" s="9">
        <f t="shared" si="17"/>
        <v>0</v>
      </c>
      <c r="L80" s="9">
        <f t="shared" si="17"/>
        <v>0</v>
      </c>
      <c r="M80" s="9">
        <f t="shared" si="17"/>
        <v>0</v>
      </c>
      <c r="N80" s="9">
        <f t="shared" si="17"/>
        <v>0</v>
      </c>
      <c r="O80" s="9">
        <f t="shared" si="17"/>
        <v>0</v>
      </c>
      <c r="P80" s="9">
        <f t="shared" si="17"/>
        <v>0</v>
      </c>
    </row>
    <row r="81" spans="1:16" x14ac:dyDescent="0.25">
      <c r="A81" s="6" t="s">
        <v>73</v>
      </c>
      <c r="B81" s="4">
        <v>0</v>
      </c>
      <c r="C81" s="10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f>+SUM(D81:O81)</f>
        <v>0</v>
      </c>
    </row>
    <row r="82" spans="1:16" x14ac:dyDescent="0.25">
      <c r="A82" s="6" t="s">
        <v>74</v>
      </c>
      <c r="B82" s="4">
        <v>0</v>
      </c>
      <c r="C82" s="10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f>+SUM(D82:O82)</f>
        <v>0</v>
      </c>
    </row>
    <row r="83" spans="1:16" x14ac:dyDescent="0.25">
      <c r="A83" s="2" t="s">
        <v>75</v>
      </c>
      <c r="B83" s="9">
        <f>+SUM(B84)</f>
        <v>0</v>
      </c>
      <c r="C83" s="9">
        <f t="shared" ref="C83:P83" si="18">+SUM(C84)</f>
        <v>0</v>
      </c>
      <c r="D83" s="9">
        <f t="shared" si="18"/>
        <v>0</v>
      </c>
      <c r="E83" s="9">
        <f t="shared" si="18"/>
        <v>0</v>
      </c>
      <c r="F83" s="9">
        <f t="shared" si="18"/>
        <v>0</v>
      </c>
      <c r="G83" s="9">
        <f t="shared" si="18"/>
        <v>0</v>
      </c>
      <c r="H83" s="9">
        <f t="shared" si="18"/>
        <v>0</v>
      </c>
      <c r="I83" s="9">
        <f t="shared" si="18"/>
        <v>0</v>
      </c>
      <c r="J83" s="9">
        <f t="shared" si="18"/>
        <v>0</v>
      </c>
      <c r="K83" s="9">
        <f t="shared" si="18"/>
        <v>0</v>
      </c>
      <c r="L83" s="9">
        <f t="shared" si="18"/>
        <v>0</v>
      </c>
      <c r="M83" s="9">
        <f t="shared" si="18"/>
        <v>0</v>
      </c>
      <c r="N83" s="9">
        <f t="shared" si="18"/>
        <v>0</v>
      </c>
      <c r="O83" s="9">
        <f t="shared" si="18"/>
        <v>0</v>
      </c>
      <c r="P83" s="9">
        <f t="shared" si="18"/>
        <v>0</v>
      </c>
    </row>
    <row r="84" spans="1:16" x14ac:dyDescent="0.25">
      <c r="A84" s="6" t="s">
        <v>76</v>
      </c>
      <c r="B84" s="4">
        <v>0</v>
      </c>
      <c r="C84" s="10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f>+SUM(D84:O84)</f>
        <v>0</v>
      </c>
    </row>
    <row r="85" spans="1:16" x14ac:dyDescent="0.25">
      <c r="A85" s="7" t="s">
        <v>77</v>
      </c>
      <c r="B85" s="5">
        <f>+B83+B80+B77</f>
        <v>0</v>
      </c>
      <c r="C85" s="19">
        <f t="shared" ref="C85:P85" si="19">+C83+C80+C77</f>
        <v>0</v>
      </c>
      <c r="D85" s="19">
        <f t="shared" si="19"/>
        <v>0</v>
      </c>
      <c r="E85" s="19">
        <f t="shared" si="19"/>
        <v>0</v>
      </c>
      <c r="F85" s="19">
        <f t="shared" si="19"/>
        <v>0</v>
      </c>
      <c r="G85" s="19">
        <f t="shared" si="19"/>
        <v>0</v>
      </c>
      <c r="H85" s="19">
        <f t="shared" si="19"/>
        <v>0</v>
      </c>
      <c r="I85" s="19">
        <f t="shared" si="19"/>
        <v>0</v>
      </c>
      <c r="J85" s="19">
        <f t="shared" si="19"/>
        <v>0</v>
      </c>
      <c r="K85" s="19">
        <f t="shared" si="19"/>
        <v>0</v>
      </c>
      <c r="L85" s="19">
        <f t="shared" si="19"/>
        <v>0</v>
      </c>
      <c r="M85" s="19">
        <f t="shared" si="19"/>
        <v>0</v>
      </c>
      <c r="N85" s="19">
        <f t="shared" si="19"/>
        <v>0</v>
      </c>
      <c r="O85" s="19">
        <f t="shared" si="19"/>
        <v>0</v>
      </c>
      <c r="P85" s="19">
        <f t="shared" si="19"/>
        <v>0</v>
      </c>
    </row>
    <row r="87" spans="1:16" x14ac:dyDescent="0.25">
      <c r="A87" s="24" t="s">
        <v>78</v>
      </c>
      <c r="B87" s="25">
        <f>+B85+B74</f>
        <v>116611243</v>
      </c>
      <c r="C87" s="25">
        <f t="shared" ref="C87:P87" si="20">+C85+C74</f>
        <v>0</v>
      </c>
      <c r="D87" s="25">
        <f t="shared" si="20"/>
        <v>5007247.54</v>
      </c>
      <c r="E87" s="25">
        <f t="shared" si="20"/>
        <v>8332239.8299999991</v>
      </c>
      <c r="F87" s="25">
        <f t="shared" si="20"/>
        <v>9484432.2199999988</v>
      </c>
      <c r="G87" s="25">
        <f t="shared" si="20"/>
        <v>10982730.93</v>
      </c>
      <c r="H87" s="25">
        <f t="shared" si="20"/>
        <v>8554007.2300000004</v>
      </c>
      <c r="I87" s="25">
        <f t="shared" si="20"/>
        <v>9427676.790000001</v>
      </c>
      <c r="J87" s="25">
        <f t="shared" si="20"/>
        <v>9446052.4600000009</v>
      </c>
      <c r="K87" s="25">
        <f t="shared" si="20"/>
        <v>0</v>
      </c>
      <c r="L87" s="25">
        <f t="shared" si="20"/>
        <v>0</v>
      </c>
      <c r="M87" s="25">
        <f t="shared" si="20"/>
        <v>0</v>
      </c>
      <c r="N87" s="25">
        <f t="shared" si="20"/>
        <v>0</v>
      </c>
      <c r="O87" s="25">
        <f t="shared" si="20"/>
        <v>0</v>
      </c>
      <c r="P87" s="25">
        <f t="shared" si="20"/>
        <v>61234386.999999993</v>
      </c>
    </row>
    <row r="88" spans="1:16" x14ac:dyDescent="0.25">
      <c r="A88" s="18" t="s">
        <v>88</v>
      </c>
      <c r="B88" s="16"/>
    </row>
    <row r="93" spans="1:16" x14ac:dyDescent="0.25">
      <c r="B93" s="30" t="s">
        <v>90</v>
      </c>
      <c r="M93" s="36" t="s">
        <v>94</v>
      </c>
      <c r="N93" s="36"/>
    </row>
    <row r="94" spans="1:16" x14ac:dyDescent="0.25">
      <c r="B94" s="29" t="s">
        <v>91</v>
      </c>
      <c r="M94" s="37" t="s">
        <v>93</v>
      </c>
      <c r="N94" s="37"/>
    </row>
    <row r="95" spans="1:16" x14ac:dyDescent="0.25">
      <c r="B95" s="28" t="s">
        <v>92</v>
      </c>
      <c r="M95" s="35" t="s">
        <v>89</v>
      </c>
      <c r="N95" s="35"/>
    </row>
    <row r="99" spans="1:9" x14ac:dyDescent="0.25">
      <c r="G99" s="35" t="s">
        <v>96</v>
      </c>
      <c r="H99" s="35"/>
      <c r="I99" s="35"/>
    </row>
    <row r="100" spans="1:9" x14ac:dyDescent="0.25">
      <c r="G100" s="34" t="s">
        <v>97</v>
      </c>
      <c r="H100" s="34"/>
      <c r="I100" s="34"/>
    </row>
    <row r="101" spans="1:9" x14ac:dyDescent="0.25">
      <c r="G101" s="35" t="s">
        <v>95</v>
      </c>
      <c r="H101" s="35"/>
      <c r="I101" s="35"/>
    </row>
    <row r="103" spans="1:9" x14ac:dyDescent="0.25">
      <c r="A103" s="31" t="s">
        <v>108</v>
      </c>
    </row>
    <row r="104" spans="1:9" x14ac:dyDescent="0.25">
      <c r="A104" s="32" t="s">
        <v>109</v>
      </c>
    </row>
    <row r="105" spans="1:9" x14ac:dyDescent="0.25">
      <c r="A105" s="33" t="s">
        <v>110</v>
      </c>
    </row>
    <row r="106" spans="1:9" x14ac:dyDescent="0.25">
      <c r="A106" s="18" t="s">
        <v>111</v>
      </c>
    </row>
  </sheetData>
  <mergeCells count="15">
    <mergeCell ref="A1:P1"/>
    <mergeCell ref="A2:P2"/>
    <mergeCell ref="A3:P3"/>
    <mergeCell ref="A4:P4"/>
    <mergeCell ref="A5:P5"/>
    <mergeCell ref="A7:A8"/>
    <mergeCell ref="B7:B8"/>
    <mergeCell ref="C7:C8"/>
    <mergeCell ref="D7:P7"/>
    <mergeCell ref="G99:I99"/>
    <mergeCell ref="G100:I100"/>
    <mergeCell ref="G101:I101"/>
    <mergeCell ref="M93:N93"/>
    <mergeCell ref="M94:N94"/>
    <mergeCell ref="M95:N95"/>
  </mergeCells>
  <pageMargins left="0.70866141732283472" right="0.70866141732283472" top="0.74803149606299213" bottom="0.74803149606299213" header="0.31496062992125984" footer="0.31496062992125984"/>
  <pageSetup paperSize="5" scale="44" orientation="landscape" r:id="rId1"/>
  <ignoredErrors>
    <ignoredError sqref="C26 C52 C62:O62 C67 B77:C77 B80:C80 P78:P79 P81:P82 P84" formulaRange="1"/>
    <ignoredError sqref="P26 P36 P44 P52 P62 P67 P70 P80 P8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2022-06-08T15:34:20Z</cp:lastPrinted>
  <dcterms:created xsi:type="dcterms:W3CDTF">2018-04-17T18:57:16Z</dcterms:created>
  <dcterms:modified xsi:type="dcterms:W3CDTF">2022-08-18T15:31:23Z</dcterms:modified>
</cp:coreProperties>
</file>